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<sst xmlns="http://schemas.openxmlformats.org/spreadsheetml/2006/main" count="1478" uniqueCount="307">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</sst>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448382.39</v>
      </c>
      <c r="G8" s="18">
        <f aca="true" t="shared" si="0" ref="G8:G54">F8-E8</f>
        <v>-10370.109999999986</v>
      </c>
      <c r="H8" s="45">
        <f>F8/E8*100</f>
        <v>97.73949787739576</v>
      </c>
      <c r="I8" s="31">
        <f aca="true" t="shared" si="1" ref="I8:I54">F8-D8</f>
        <v>-123906.60999999999</v>
      </c>
      <c r="J8" s="31">
        <f aca="true" t="shared" si="2" ref="J8:J14">F8/D8*100</f>
        <v>78.34894432707951</v>
      </c>
      <c r="K8" s="18">
        <f>K9+K15+K18+K19+K20+K32</f>
        <v>89398.546</v>
      </c>
      <c r="L8" s="18"/>
      <c r="M8" s="18">
        <f>M9+M15+M18+M19+M20+M32+M17</f>
        <v>45676.399999999994</v>
      </c>
      <c r="N8" s="18">
        <f>N9+N15+N18+N19+N20+N32+N17</f>
        <v>18870.280000000006</v>
      </c>
      <c r="O8" s="31">
        <f aca="true" t="shared" si="3" ref="O8:O54">N8-M8</f>
        <v>-26806.119999999988</v>
      </c>
      <c r="P8" s="31">
        <f>F8/M8*100</f>
        <v>981.6500205795554</v>
      </c>
      <c r="Q8" s="31">
        <f>N8-33748.16</f>
        <v>-14877.879999999997</v>
      </c>
      <c r="R8" s="125">
        <f>N8/33748.16</f>
        <v>0.5591498914311182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248249.15</v>
      </c>
      <c r="G9" s="43">
        <f t="shared" si="0"/>
        <v>-365.3999999999942</v>
      </c>
      <c r="H9" s="35">
        <f aca="true" t="shared" si="4" ref="H9:H32">F9/E9*100</f>
        <v>99.8530254966976</v>
      </c>
      <c r="I9" s="50">
        <f t="shared" si="1"/>
        <v>-64440.850000000006</v>
      </c>
      <c r="J9" s="50">
        <f t="shared" si="2"/>
        <v>79.39145799353993</v>
      </c>
      <c r="K9" s="132">
        <f>F9-282613.68/75*60</f>
        <v>22158.206000000006</v>
      </c>
      <c r="L9" s="132">
        <f>F9/(282613.68/75*60)*100</f>
        <v>109.80057210960206</v>
      </c>
      <c r="M9" s="35">
        <f>E9-серпень!E9</f>
        <v>26089.899999999994</v>
      </c>
      <c r="N9" s="35">
        <f>F9-серпень!F9</f>
        <v>14538.139999999985</v>
      </c>
      <c r="O9" s="47">
        <f t="shared" si="3"/>
        <v>-11551.76000000001</v>
      </c>
      <c r="P9" s="50">
        <f aca="true" t="shared" si="5" ref="P9:P32">N9/M9*100</f>
        <v>55.72324922671221</v>
      </c>
      <c r="Q9" s="132">
        <f>N9-26568.11</f>
        <v>-12029.970000000016</v>
      </c>
      <c r="R9" s="133">
        <f>N9/26568.11</f>
        <v>0.5472026425665952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219708.93</v>
      </c>
      <c r="G10" s="135">
        <f t="shared" si="0"/>
        <v>1218.679999999993</v>
      </c>
      <c r="H10" s="137">
        <f t="shared" si="4"/>
        <v>100.55777317294479</v>
      </c>
      <c r="I10" s="136">
        <f t="shared" si="1"/>
        <v>-20701.070000000007</v>
      </c>
      <c r="J10" s="136">
        <f t="shared" si="2"/>
        <v>91.38926417370325</v>
      </c>
      <c r="K10" s="138">
        <f>F10-251377.17/75*60</f>
        <v>18607.19399999999</v>
      </c>
      <c r="L10" s="138">
        <f>F10/(251377.17/75*60)*100</f>
        <v>109.25262723738993</v>
      </c>
      <c r="M10" s="137">
        <f>E10-серпень!E10</f>
        <v>22490</v>
      </c>
      <c r="N10" s="137">
        <f>F10-серпень!F10</f>
        <v>13090.720000000001</v>
      </c>
      <c r="O10" s="138">
        <f t="shared" si="3"/>
        <v>-9399.279999999999</v>
      </c>
      <c r="P10" s="136">
        <f t="shared" si="5"/>
        <v>58.20684748777235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12689.24</v>
      </c>
      <c r="G11" s="135">
        <f t="shared" si="0"/>
        <v>-4098.660000000002</v>
      </c>
      <c r="H11" s="137">
        <f t="shared" si="4"/>
        <v>75.58563012646012</v>
      </c>
      <c r="I11" s="136">
        <f t="shared" si="1"/>
        <v>-11010.76</v>
      </c>
      <c r="J11" s="136">
        <f t="shared" si="2"/>
        <v>53.5410970464135</v>
      </c>
      <c r="K11" s="138">
        <f>F11-18550.28/75*60</f>
        <v>-2150.9840000000004</v>
      </c>
      <c r="L11" s="138">
        <f>F11/(18550.28/75*60)*100</f>
        <v>85.50571743391474</v>
      </c>
      <c r="M11" s="137">
        <f>E11-серпень!E11</f>
        <v>2099.9000000000015</v>
      </c>
      <c r="N11" s="137">
        <f>F11-серпень!F11</f>
        <v>280.6800000000003</v>
      </c>
      <c r="O11" s="138">
        <f t="shared" si="3"/>
        <v>-1819.2200000000012</v>
      </c>
      <c r="P11" s="136">
        <f t="shared" si="5"/>
        <v>13.36635077860851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3487.72</v>
      </c>
      <c r="G12" s="135">
        <f t="shared" si="0"/>
        <v>-421.2800000000002</v>
      </c>
      <c r="H12" s="137">
        <f t="shared" si="4"/>
        <v>89.22281913532872</v>
      </c>
      <c r="I12" s="136">
        <f t="shared" si="1"/>
        <v>-2312.28</v>
      </c>
      <c r="J12" s="136">
        <f t="shared" si="2"/>
        <v>60.13310344827586</v>
      </c>
      <c r="K12" s="138">
        <f>F12-5298.15/75*60</f>
        <v>-750.7999999999997</v>
      </c>
      <c r="L12" s="138">
        <f>F12/(5298.15*60)*100</f>
        <v>1.097150263142166</v>
      </c>
      <c r="M12" s="137">
        <f>E12-серпень!E12</f>
        <v>660</v>
      </c>
      <c r="N12" s="137">
        <f>F12-серпень!F12</f>
        <v>156.35999999999967</v>
      </c>
      <c r="O12" s="138">
        <f t="shared" si="3"/>
        <v>-503.6400000000003</v>
      </c>
      <c r="P12" s="136">
        <f t="shared" si="5"/>
        <v>23.69090909090904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5401.89</v>
      </c>
      <c r="G13" s="135">
        <f t="shared" si="0"/>
        <v>-821.5099999999993</v>
      </c>
      <c r="H13" s="137">
        <f t="shared" si="4"/>
        <v>86.79965935019443</v>
      </c>
      <c r="I13" s="136">
        <f t="shared" si="1"/>
        <v>-2998.1099999999997</v>
      </c>
      <c r="J13" s="136">
        <f t="shared" si="2"/>
        <v>64.3082142857143</v>
      </c>
      <c r="K13" s="138">
        <f>F13-7303.25/75*60</f>
        <v>-440.71000000000004</v>
      </c>
      <c r="L13" s="138">
        <f>F13/(7303.25/75*60)*100</f>
        <v>92.45695409577928</v>
      </c>
      <c r="M13" s="137">
        <f>E13-серпень!E13</f>
        <v>450</v>
      </c>
      <c r="N13" s="137">
        <f>F13-серпень!F13</f>
        <v>425.16000000000076</v>
      </c>
      <c r="O13" s="138">
        <f t="shared" si="3"/>
        <v>-24.839999999999236</v>
      </c>
      <c r="P13" s="136">
        <f t="shared" si="5"/>
        <v>94.48000000000017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-670.52</v>
      </c>
      <c r="G15" s="43">
        <f t="shared" si="0"/>
        <v>-841.92</v>
      </c>
      <c r="H15" s="35"/>
      <c r="I15" s="50">
        <f t="shared" si="1"/>
        <v>-670.52</v>
      </c>
      <c r="J15" s="50" t="e">
        <f>F15/D15*100</f>
        <v>#DIV/0!</v>
      </c>
      <c r="K15" s="53">
        <f>F15-(-404.47)</f>
        <v>-266.04999999999995</v>
      </c>
      <c r="L15" s="53">
        <f>F15/(-404.47)*100</f>
        <v>165.7774371399609</v>
      </c>
      <c r="M15" s="35">
        <f>E15-серпень!E15</f>
        <v>0.09999999999999432</v>
      </c>
      <c r="N15" s="35">
        <f>F15-серпень!F15</f>
        <v>64.06000000000006</v>
      </c>
      <c r="O15" s="47">
        <f t="shared" si="3"/>
        <v>63.960000000000065</v>
      </c>
      <c r="P15" s="50"/>
      <c r="Q15" s="50">
        <f>N15-358.81</f>
        <v>-294.74999999999994</v>
      </c>
      <c r="R15" s="126">
        <f>N15/358.81</f>
        <v>0.17853460048493647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-1169.76</v>
      </c>
      <c r="G16" s="135">
        <f t="shared" si="0"/>
        <v>-1169.76</v>
      </c>
      <c r="H16" s="137"/>
      <c r="I16" s="136">
        <f t="shared" si="1"/>
        <v>-1169.76</v>
      </c>
      <c r="J16" s="136"/>
      <c r="K16" s="138">
        <f>F16-95.61</f>
        <v>-1265.37</v>
      </c>
      <c r="L16" s="138">
        <f>F16/95.61*100</f>
        <v>-1223.4703482899276</v>
      </c>
      <c r="M16" s="35">
        <f>E16-серпень!E16</f>
        <v>0</v>
      </c>
      <c r="N16" s="35">
        <f>F16-серпень!F16</f>
        <v>64.04999999999995</v>
      </c>
      <c r="O16" s="138">
        <f t="shared" si="3"/>
        <v>64.04999999999995</v>
      </c>
      <c r="P16" s="50"/>
      <c r="Q16" s="136">
        <f>N16-358.81</f>
        <v>-294.76000000000005</v>
      </c>
      <c r="R16" s="141">
        <f>N16/358.79</f>
        <v>0.17851668106691923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44443.19</v>
      </c>
      <c r="G19" s="43">
        <f t="shared" si="0"/>
        <v>-6279.559999999998</v>
      </c>
      <c r="H19" s="35">
        <f t="shared" si="4"/>
        <v>87.61983528101295</v>
      </c>
      <c r="I19" s="50">
        <f t="shared" si="1"/>
        <v>-17766.809999999998</v>
      </c>
      <c r="J19" s="178">
        <f>F19/D19*100</f>
        <v>71.44058832985051</v>
      </c>
      <c r="K19" s="179">
        <f>F19-0</f>
        <v>44443.19</v>
      </c>
      <c r="L19" s="180"/>
      <c r="M19" s="35">
        <f>E19-серпень!E19</f>
        <v>6800</v>
      </c>
      <c r="N19" s="35">
        <f>F19-серпень!F19</f>
        <v>565.5299999999988</v>
      </c>
      <c r="O19" s="47">
        <f t="shared" si="3"/>
        <v>-6234.470000000001</v>
      </c>
      <c r="P19" s="50">
        <f t="shared" si="5"/>
        <v>8.316617647058806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150767.01</v>
      </c>
      <c r="G20" s="43">
        <f t="shared" si="0"/>
        <v>-2711.389999999985</v>
      </c>
      <c r="H20" s="35">
        <f t="shared" si="4"/>
        <v>98.23337355614863</v>
      </c>
      <c r="I20" s="50">
        <f t="shared" si="1"/>
        <v>-39102.98999999999</v>
      </c>
      <c r="J20" s="178">
        <f aca="true" t="shared" si="6" ref="J20:J46">F20/D20*100</f>
        <v>79.40538789698215</v>
      </c>
      <c r="K20" s="178">
        <f>K21+K25+K26+K27</f>
        <v>24841.919999999995</v>
      </c>
      <c r="L20" s="136"/>
      <c r="M20" s="35">
        <f>E20-серпень!E20</f>
        <v>12786.100000000006</v>
      </c>
      <c r="N20" s="35">
        <f>F20-серпень!F20</f>
        <v>3698.8400000000256</v>
      </c>
      <c r="O20" s="47">
        <f t="shared" si="3"/>
        <v>-9087.25999999998</v>
      </c>
      <c r="P20" s="50">
        <f t="shared" si="5"/>
        <v>28.92860215390169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81446.53</v>
      </c>
      <c r="G21" s="43">
        <f t="shared" si="0"/>
        <v>-4453.869999999995</v>
      </c>
      <c r="H21" s="35">
        <f t="shared" si="4"/>
        <v>94.81507653049346</v>
      </c>
      <c r="I21" s="50">
        <f t="shared" si="1"/>
        <v>-28853.47</v>
      </c>
      <c r="J21" s="178">
        <f t="shared" si="6"/>
        <v>73.84091568449682</v>
      </c>
      <c r="K21" s="178">
        <f>K22+K23+K24</f>
        <v>19899.92</v>
      </c>
      <c r="L21" s="136"/>
      <c r="M21" s="35">
        <f>E21-серпень!E21</f>
        <v>8720.099999999991</v>
      </c>
      <c r="N21" s="35">
        <f>F21-серпень!F21</f>
        <v>1647.6499999999942</v>
      </c>
      <c r="O21" s="47">
        <f t="shared" si="3"/>
        <v>-7072.449999999997</v>
      </c>
      <c r="P21" s="50">
        <f t="shared" si="5"/>
        <v>18.894852123255422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8971.05</v>
      </c>
      <c r="G22" s="135">
        <f t="shared" si="0"/>
        <v>176.64999999999964</v>
      </c>
      <c r="H22" s="137">
        <f t="shared" si="4"/>
        <v>102.00866460474846</v>
      </c>
      <c r="I22" s="136">
        <f t="shared" si="1"/>
        <v>-1728.9500000000007</v>
      </c>
      <c r="J22" s="136">
        <f t="shared" si="6"/>
        <v>83.84158878504671</v>
      </c>
      <c r="K22" s="136">
        <f>F22-314.15</f>
        <v>8656.9</v>
      </c>
      <c r="L22" s="136">
        <f>F22/314.15*100</f>
        <v>2855.6581250994745</v>
      </c>
      <c r="M22" s="137">
        <f>E22-серпень!E22</f>
        <v>171.10000000000036</v>
      </c>
      <c r="N22" s="137">
        <f>F22-серпень!F22</f>
        <v>297.3099999999995</v>
      </c>
      <c r="O22" s="138">
        <f t="shared" si="3"/>
        <v>126.20999999999913</v>
      </c>
      <c r="P22" s="136">
        <f t="shared" si="5"/>
        <v>173.763880771478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3244.03</v>
      </c>
      <c r="G23" s="135">
        <f t="shared" si="0"/>
        <v>1457.0300000000002</v>
      </c>
      <c r="H23" s="137"/>
      <c r="I23" s="136">
        <f t="shared" si="1"/>
        <v>1144.0300000000002</v>
      </c>
      <c r="J23" s="136">
        <f t="shared" si="6"/>
        <v>154.47761904761904</v>
      </c>
      <c r="K23" s="136">
        <f>F23-0</f>
        <v>3244.03</v>
      </c>
      <c r="L23" s="136"/>
      <c r="M23" s="137">
        <f>E23-серпень!E23</f>
        <v>309</v>
      </c>
      <c r="N23" s="137">
        <f>F23-серпень!F23</f>
        <v>127.08000000000038</v>
      </c>
      <c r="O23" s="138">
        <f t="shared" si="3"/>
        <v>-181.91999999999962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69231.45</v>
      </c>
      <c r="G24" s="135">
        <f t="shared" si="0"/>
        <v>-6087.550000000003</v>
      </c>
      <c r="H24" s="137">
        <f t="shared" si="4"/>
        <v>91.91764362245914</v>
      </c>
      <c r="I24" s="136">
        <f t="shared" si="1"/>
        <v>-28268.550000000003</v>
      </c>
      <c r="J24" s="136">
        <f t="shared" si="6"/>
        <v>71.00661538461537</v>
      </c>
      <c r="K24" s="224">
        <f>F24-61232.46</f>
        <v>7998.989999999998</v>
      </c>
      <c r="L24" s="224">
        <f>F24/61232.46*100</f>
        <v>113.06331641746877</v>
      </c>
      <c r="M24" s="137">
        <f>E24-серпень!E24</f>
        <v>8240</v>
      </c>
      <c r="N24" s="137">
        <f>F24-серпень!F24</f>
        <v>1223.2599999999948</v>
      </c>
      <c r="O24" s="138">
        <f t="shared" si="3"/>
        <v>-7016.740000000005</v>
      </c>
      <c r="P24" s="136">
        <f t="shared" si="5"/>
        <v>14.845388349514499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F25-44.08</f>
        <v>4.770000000000003</v>
      </c>
      <c r="L25" s="178">
        <f>F25/44.08*100</f>
        <v>110.82123411978222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-669.02</v>
      </c>
      <c r="G26" s="43">
        <f t="shared" si="0"/>
        <v>-669.02</v>
      </c>
      <c r="H26" s="35"/>
      <c r="I26" s="50">
        <f t="shared" si="1"/>
        <v>-669.02</v>
      </c>
      <c r="J26" s="136"/>
      <c r="K26" s="178">
        <f>F26-4797.94</f>
        <v>-5466.959999999999</v>
      </c>
      <c r="L26" s="178">
        <f>F26/4797.94*100</f>
        <v>-13.943900924146613</v>
      </c>
      <c r="M26" s="35">
        <f>E26-серпень!E26</f>
        <v>0</v>
      </c>
      <c r="N26" s="35">
        <f>F26-серпень!F26</f>
        <v>-54.44999999999993</v>
      </c>
      <c r="O26" s="47">
        <f t="shared" si="3"/>
        <v>-54.44999999999993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69940.65</v>
      </c>
      <c r="G27" s="43">
        <f t="shared" si="0"/>
        <v>2404.149999999994</v>
      </c>
      <c r="H27" s="35">
        <f t="shared" si="4"/>
        <v>103.55977878628593</v>
      </c>
      <c r="I27" s="50">
        <f t="shared" si="1"/>
        <v>-9559.350000000006</v>
      </c>
      <c r="J27" s="178">
        <f t="shared" si="6"/>
        <v>87.97566037735848</v>
      </c>
      <c r="K27" s="132">
        <f>F27-59536.46</f>
        <v>10404.189999999995</v>
      </c>
      <c r="L27" s="132">
        <f>F27/59536.46*100</f>
        <v>117.47532520408501</v>
      </c>
      <c r="M27" s="35">
        <f>E27-серпень!E27</f>
        <v>4060</v>
      </c>
      <c r="N27" s="35">
        <f>F27-серпень!F27</f>
        <v>2105.6399999999994</v>
      </c>
      <c r="O27" s="47">
        <f t="shared" si="3"/>
        <v>-1954.3600000000006</v>
      </c>
      <c r="P27" s="50">
        <f t="shared" si="5"/>
        <v>51.863054187192105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F28-1.2</f>
        <v>-2.4</v>
      </c>
      <c r="L28" s="139">
        <f>F28/1.2*100</f>
        <v>-100</v>
      </c>
      <c r="M28" s="137">
        <f>E28-серпень!E28</f>
        <v>0</v>
      </c>
      <c r="N28" s="137">
        <f>F28-серпень!F28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17197.3</v>
      </c>
      <c r="G29" s="135">
        <f t="shared" si="0"/>
        <v>417.2999999999993</v>
      </c>
      <c r="H29" s="137">
        <f t="shared" si="4"/>
        <v>102.48688915375446</v>
      </c>
      <c r="I29" s="136">
        <f t="shared" si="1"/>
        <v>-2002.7000000000007</v>
      </c>
      <c r="J29" s="136">
        <f t="shared" si="6"/>
        <v>89.56927083333332</v>
      </c>
      <c r="K29" s="139">
        <f>F29-16472.46</f>
        <v>724.8400000000001</v>
      </c>
      <c r="L29" s="139">
        <f>F29/16472.46*100</f>
        <v>104.40031422143383</v>
      </c>
      <c r="M29" s="137">
        <f>E29-серпень!E29</f>
        <v>1200</v>
      </c>
      <c r="N29" s="137">
        <f>F29-серпень!F29</f>
        <v>265.9699999999975</v>
      </c>
      <c r="O29" s="138">
        <f t="shared" si="3"/>
        <v>-934.0300000000025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52727.74</v>
      </c>
      <c r="G30" s="135">
        <f t="shared" si="0"/>
        <v>1971.239999999998</v>
      </c>
      <c r="H30" s="137">
        <f t="shared" si="4"/>
        <v>103.8837193265887</v>
      </c>
      <c r="I30" s="136">
        <f t="shared" si="1"/>
        <v>-7572.260000000002</v>
      </c>
      <c r="J30" s="136">
        <f t="shared" si="6"/>
        <v>87.44235489220563</v>
      </c>
      <c r="K30" s="139">
        <f>F30-43062.79</f>
        <v>9664.949999999997</v>
      </c>
      <c r="L30" s="139">
        <f>F30/43062.79*100</f>
        <v>122.44385465967254</v>
      </c>
      <c r="M30" s="137">
        <f>E30-серпень!E30</f>
        <v>2860</v>
      </c>
      <c r="N30" s="137">
        <f>F30-серпень!F30</f>
        <v>1839.6699999999983</v>
      </c>
      <c r="O30" s="138">
        <f t="shared" si="3"/>
        <v>-1020.3300000000017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5577.67</v>
      </c>
      <c r="G32" s="43">
        <f t="shared" si="0"/>
        <v>-174.72999999999956</v>
      </c>
      <c r="H32" s="35">
        <f t="shared" si="4"/>
        <v>96.96248522355887</v>
      </c>
      <c r="I32" s="50">
        <f t="shared" si="1"/>
        <v>-1922.33</v>
      </c>
      <c r="J32" s="178">
        <f t="shared" si="6"/>
        <v>74.36893333333333</v>
      </c>
      <c r="K32" s="178">
        <f>F32-7368.88</f>
        <v>-1791.21</v>
      </c>
      <c r="L32" s="178">
        <f>F32/7368.88*100</f>
        <v>75.6922354550488</v>
      </c>
      <c r="M32" s="35">
        <f>E32-серпень!E32</f>
        <v>0.2999999999992724</v>
      </c>
      <c r="N32" s="35">
        <f>F32-серпень!F32</f>
        <v>3.7100000000000364</v>
      </c>
      <c r="O32" s="47">
        <f t="shared" si="3"/>
        <v>3.410000000000764</v>
      </c>
      <c r="P32" s="50">
        <f t="shared" si="5"/>
        <v>1236.666666669678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27438.329999999998</v>
      </c>
      <c r="G33" s="44">
        <f t="shared" si="0"/>
        <v>4488.329999999998</v>
      </c>
      <c r="H33" s="45">
        <f>F33/E33*100</f>
        <v>119.55699346405228</v>
      </c>
      <c r="I33" s="31">
        <f t="shared" si="1"/>
        <v>-1268.7700000000004</v>
      </c>
      <c r="J33" s="31">
        <f t="shared" si="6"/>
        <v>95.58029198351628</v>
      </c>
      <c r="K33" s="18">
        <f>K34+K35+K36+K37+K38+K41+K42+K47+K48+K52+K40</f>
        <v>17680.14</v>
      </c>
      <c r="L33" s="18"/>
      <c r="M33" s="18">
        <f>M34+M35+M36+M37+M38+M41+M42+M47+M48+M52+M40+M39</f>
        <v>2859.8</v>
      </c>
      <c r="N33" s="18">
        <f>N34+N35+N36+N37+N38+N41+N42+N47+N48+N52+N40+N39</f>
        <v>5830.98</v>
      </c>
      <c r="O33" s="49">
        <f t="shared" si="3"/>
        <v>2971.1799999999994</v>
      </c>
      <c r="P33" s="31">
        <f>N33/M33*100</f>
        <v>203.8946779495069</v>
      </c>
      <c r="Q33" s="31">
        <f>N33-1017.63</f>
        <v>4813.349999999999</v>
      </c>
      <c r="R33" s="127">
        <f>N33/1017.63</f>
        <v>5.7299607912502575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316.57</v>
      </c>
      <c r="G36" s="43">
        <f t="shared" si="0"/>
        <v>76.57</v>
      </c>
      <c r="H36" s="35"/>
      <c r="I36" s="50">
        <f t="shared" si="1"/>
        <v>76.57</v>
      </c>
      <c r="J36" s="50"/>
      <c r="K36" s="50">
        <f>F36-272.25</f>
        <v>44.31999999999999</v>
      </c>
      <c r="L36" s="50">
        <f>F36/272.25*100</f>
        <v>116.2791551882461</v>
      </c>
      <c r="M36" s="35">
        <f>E36-серпень!E36</f>
        <v>0</v>
      </c>
      <c r="N36" s="35">
        <f>F36-серпень!F36</f>
        <v>9.370000000000005</v>
      </c>
      <c r="O36" s="47">
        <f t="shared" si="3"/>
        <v>9.370000000000005</v>
      </c>
      <c r="P36" s="50"/>
      <c r="Q36" s="50">
        <f>N36-4.23</f>
        <v>5.140000000000004</v>
      </c>
      <c r="R36" s="126">
        <f>N36/4.23</f>
        <v>2.2151300236406626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110.84</v>
      </c>
      <c r="G38" s="43">
        <f t="shared" si="0"/>
        <v>5.840000000000003</v>
      </c>
      <c r="H38" s="35">
        <f>F38/E38*100</f>
        <v>105.56190476190477</v>
      </c>
      <c r="I38" s="50">
        <f t="shared" si="1"/>
        <v>-29.159999999999997</v>
      </c>
      <c r="J38" s="50">
        <f t="shared" si="6"/>
        <v>79.17142857142856</v>
      </c>
      <c r="K38" s="50">
        <f>F38-97.95</f>
        <v>12.89</v>
      </c>
      <c r="L38" s="50">
        <f>F38/97.95*100</f>
        <v>113.15977539561</v>
      </c>
      <c r="M38" s="35">
        <f>E38-серпень!E38</f>
        <v>15</v>
      </c>
      <c r="N38" s="35">
        <f>F38-серпень!F38</f>
        <v>6.780000000000001</v>
      </c>
      <c r="O38" s="47">
        <f t="shared" si="3"/>
        <v>-8.219999999999999</v>
      </c>
      <c r="P38" s="50">
        <f>N38/M38*100</f>
        <v>45.20000000000001</v>
      </c>
      <c r="Q38" s="50">
        <f>N38-9.02</f>
        <v>-2.2399999999999984</v>
      </c>
      <c r="R38" s="126">
        <f>N38/9.02</f>
        <v>0.7516629711751664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7193.05</v>
      </c>
      <c r="G40" s="43"/>
      <c r="H40" s="35"/>
      <c r="I40" s="50">
        <f t="shared" si="1"/>
        <v>-1806.9499999999998</v>
      </c>
      <c r="J40" s="50"/>
      <c r="K40" s="50">
        <f>F40-0</f>
        <v>7193.05</v>
      </c>
      <c r="L40" s="50"/>
      <c r="M40" s="35">
        <f>E40-серпень!E40</f>
        <v>1000</v>
      </c>
      <c r="N40" s="35">
        <f>F40-серпень!F40</f>
        <v>421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5482.59</v>
      </c>
      <c r="G42" s="43">
        <f t="shared" si="0"/>
        <v>-316.40999999999985</v>
      </c>
      <c r="H42" s="35">
        <f>F42/E42*100</f>
        <v>94.54371443352302</v>
      </c>
      <c r="I42" s="50">
        <f t="shared" si="1"/>
        <v>-1617.4099999999999</v>
      </c>
      <c r="J42" s="50">
        <f t="shared" si="6"/>
        <v>77.21957746478874</v>
      </c>
      <c r="K42" s="50">
        <f>F42-782.38</f>
        <v>4700.21</v>
      </c>
      <c r="L42" s="50">
        <f>F42/782.38*100</f>
        <v>700.7579437102175</v>
      </c>
      <c r="M42" s="35">
        <f>E42-серпень!E42</f>
        <v>604.3000000000002</v>
      </c>
      <c r="N42" s="35">
        <f>F42-серпень!F42</f>
        <v>261.15999999999985</v>
      </c>
      <c r="O42" s="47">
        <f t="shared" si="3"/>
        <v>-343.1400000000003</v>
      </c>
      <c r="P42" s="50">
        <f>N42/M42*100</f>
        <v>43.21694522588115</v>
      </c>
      <c r="Q42" s="50">
        <f>N42-79.51</f>
        <v>181.64999999999986</v>
      </c>
      <c r="R42" s="126">
        <f>N42/79.51</f>
        <v>3.2846182870079215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773.75</v>
      </c>
      <c r="G43" s="135">
        <f t="shared" si="0"/>
        <v>-66.25</v>
      </c>
      <c r="H43" s="137">
        <f>F43/E43*100</f>
        <v>92.11309523809523</v>
      </c>
      <c r="I43" s="136">
        <f t="shared" si="1"/>
        <v>-326.25</v>
      </c>
      <c r="J43" s="136">
        <f t="shared" si="6"/>
        <v>70.3409090909091</v>
      </c>
      <c r="K43" s="136">
        <f>F43-687.25</f>
        <v>86.5</v>
      </c>
      <c r="L43" s="136">
        <f>F43/687.25*100</f>
        <v>112.58639505274645</v>
      </c>
      <c r="M43" s="35">
        <f>E43-серпень!E43</f>
        <v>80</v>
      </c>
      <c r="N43" s="35">
        <f>F43-серпень!F43</f>
        <v>38.620000000000005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44.04</v>
      </c>
      <c r="G44" s="135">
        <f t="shared" si="0"/>
        <v>-15.96</v>
      </c>
      <c r="H44" s="137"/>
      <c r="I44" s="136">
        <f t="shared" si="1"/>
        <v>-35.96</v>
      </c>
      <c r="J44" s="136"/>
      <c r="K44" s="136">
        <f>F44-0</f>
        <v>44.04</v>
      </c>
      <c r="L44" s="136"/>
      <c r="M44" s="35">
        <f>E44-серпень!E44</f>
        <v>10</v>
      </c>
      <c r="N44" s="35">
        <f>F44-серпень!F44</f>
        <v>-1.4100000000000037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4664.05</v>
      </c>
      <c r="G46" s="135">
        <f t="shared" si="0"/>
        <v>-233.94999999999982</v>
      </c>
      <c r="H46" s="137">
        <f>F46/E46*100</f>
        <v>95.22356063699469</v>
      </c>
      <c r="I46" s="136">
        <f t="shared" si="1"/>
        <v>-1253.9499999999998</v>
      </c>
      <c r="J46" s="136">
        <f t="shared" si="6"/>
        <v>78.81125380196012</v>
      </c>
      <c r="K46" s="136">
        <f>F46-95.13</f>
        <v>4568.92</v>
      </c>
      <c r="L46" s="136">
        <f>F46/95.13*100</f>
        <v>4902.817197519184</v>
      </c>
      <c r="M46" s="35">
        <f>E46-серпень!E46</f>
        <v>514</v>
      </c>
      <c r="N46" s="35">
        <f>F46-серпень!F46</f>
        <v>223.9400000000005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3452.47</v>
      </c>
      <c r="G48" s="43">
        <f t="shared" si="0"/>
        <v>362.4699999999998</v>
      </c>
      <c r="H48" s="35">
        <f>F48/E48*100</f>
        <v>111.7304207119741</v>
      </c>
      <c r="I48" s="50">
        <f t="shared" si="1"/>
        <v>-747.5300000000002</v>
      </c>
      <c r="J48" s="50">
        <f>F48/D48*100</f>
        <v>82.20166666666667</v>
      </c>
      <c r="K48" s="50">
        <f>F48-3093.83</f>
        <v>358.6399999999999</v>
      </c>
      <c r="L48" s="50">
        <f>F48/3093.83*100</f>
        <v>111.5921042849801</v>
      </c>
      <c r="M48" s="35">
        <f>E48-серпень!E48</f>
        <v>390</v>
      </c>
      <c r="N48" s="35">
        <f>F48-серпень!F48</f>
        <v>259.8199999999997</v>
      </c>
      <c r="O48" s="47">
        <f t="shared" si="3"/>
        <v>-130.1800000000003</v>
      </c>
      <c r="P48" s="50">
        <f aca="true" t="shared" si="7" ref="P48:P53">N48/M48*100</f>
        <v>66.62051282051274</v>
      </c>
      <c r="Q48" s="50">
        <f>N48-277.38</f>
        <v>-17.560000000000286</v>
      </c>
      <c r="R48" s="126">
        <f>N48/277.38</f>
        <v>0.9366933448698526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954.6</v>
      </c>
      <c r="G51" s="135">
        <f t="shared" si="0"/>
        <v>954.6</v>
      </c>
      <c r="H51" s="137"/>
      <c r="I51" s="136">
        <f t="shared" si="1"/>
        <v>954.6</v>
      </c>
      <c r="J51" s="136"/>
      <c r="K51" s="219">
        <f>F51-758.38</f>
        <v>196.22000000000003</v>
      </c>
      <c r="L51" s="219">
        <f>F51/758.38*100</f>
        <v>125.87357261531157</v>
      </c>
      <c r="M51" s="35">
        <f>E51-серпень!E51</f>
        <v>0</v>
      </c>
      <c r="N51" s="35">
        <f>F51-серпень!F51</f>
        <v>64</v>
      </c>
      <c r="O51" s="138">
        <f t="shared" si="3"/>
        <v>64</v>
      </c>
      <c r="P51" s="136"/>
      <c r="Q51" s="50">
        <f>N51-64.93</f>
        <v>-0.9300000000000068</v>
      </c>
      <c r="R51" s="126">
        <f>N51/64.93</f>
        <v>0.9856768827968581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475835.45</v>
      </c>
      <c r="G55" s="44">
        <f>F55-E55</f>
        <v>-5886.450000000012</v>
      </c>
      <c r="H55" s="45">
        <f>F55/E55*100</f>
        <v>98.77803977772237</v>
      </c>
      <c r="I55" s="31">
        <f>F55-D55</f>
        <v>-125187.14999999997</v>
      </c>
      <c r="J55" s="31">
        <f>F55/D55*100</f>
        <v>79.17097460228617</v>
      </c>
      <c r="K55" s="31">
        <f>K8+K33+K53+K54</f>
        <v>107073.14600000001</v>
      </c>
      <c r="L55" s="31">
        <f>F55/(F55-K55)*100</f>
        <v>129.03581652423998</v>
      </c>
      <c r="M55" s="18">
        <f>M8+M33+M53+M54</f>
        <v>48538.399999999994</v>
      </c>
      <c r="N55" s="18">
        <f>N8+N33+N53+N54</f>
        <v>24701.260000000006</v>
      </c>
      <c r="O55" s="49">
        <f>N55-M55</f>
        <v>-23837.13999999999</v>
      </c>
      <c r="P55" s="31">
        <f>N55/M55*100</f>
        <v>50.89014058971867</v>
      </c>
      <c r="Q55" s="31">
        <f>N55-34768</f>
        <v>-10066.739999999994</v>
      </c>
      <c r="R55" s="171">
        <f>N55/34768</f>
        <v>0.7104596180395768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593.05</v>
      </c>
      <c r="G64" s="43">
        <f t="shared" si="8"/>
        <v>-1006.95</v>
      </c>
      <c r="H64" s="35"/>
      <c r="I64" s="53">
        <f t="shared" si="9"/>
        <v>-1906.95</v>
      </c>
      <c r="J64" s="53">
        <f t="shared" si="11"/>
        <v>23.721999999999998</v>
      </c>
      <c r="K64" s="53">
        <f>F64-1754.73</f>
        <v>-1161.68</v>
      </c>
      <c r="L64" s="53">
        <f>F64/1754.73*100</f>
        <v>33.79722236469428</v>
      </c>
      <c r="M64" s="35">
        <f>E64-серпень!E64</f>
        <v>600</v>
      </c>
      <c r="N64" s="35">
        <f>F64-серпень!F64</f>
        <v>0.029999999999972715</v>
      </c>
      <c r="O64" s="47">
        <f t="shared" si="10"/>
        <v>-599.97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3948.27</v>
      </c>
      <c r="G65" s="43">
        <f t="shared" si="8"/>
        <v>-1513.8899999999999</v>
      </c>
      <c r="H65" s="35">
        <f>F65/E65*100</f>
        <v>72.28404147809658</v>
      </c>
      <c r="I65" s="53">
        <f t="shared" si="9"/>
        <v>-7627.73</v>
      </c>
      <c r="J65" s="53">
        <f t="shared" si="11"/>
        <v>34.107377332411886</v>
      </c>
      <c r="K65" s="53">
        <f>F65-2393.24</f>
        <v>1555.0300000000002</v>
      </c>
      <c r="L65" s="53">
        <f>F65/2393.24*100</f>
        <v>164.97593220905554</v>
      </c>
      <c r="M65" s="35">
        <f>E65-серпень!E65</f>
        <v>728.7200000000003</v>
      </c>
      <c r="N65" s="35">
        <f>F65-серпень!F65</f>
        <v>189.6300000000001</v>
      </c>
      <c r="O65" s="47">
        <f t="shared" si="10"/>
        <v>-539.0900000000001</v>
      </c>
      <c r="P65" s="53">
        <f>N65/M65*100</f>
        <v>26.022340542320787</v>
      </c>
      <c r="Q65" s="53">
        <f>N65-450.01</f>
        <v>-260.3799999999999</v>
      </c>
      <c r="R65" s="129">
        <f>N65/450.01</f>
        <v>0.42139063576364993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F66-1074.91</f>
        <v>763.9499999999998</v>
      </c>
      <c r="L66" s="53">
        <f>F66/1074.91*100</f>
        <v>171.07106641486263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6380.179999999999</v>
      </c>
      <c r="G67" s="55">
        <f t="shared" si="8"/>
        <v>-1866.7799999999997</v>
      </c>
      <c r="H67" s="65">
        <f>F67/E67*100</f>
        <v>77.36402262166908</v>
      </c>
      <c r="I67" s="54">
        <f t="shared" si="9"/>
        <v>-10695.82</v>
      </c>
      <c r="J67" s="54">
        <f t="shared" si="11"/>
        <v>37.36343405949871</v>
      </c>
      <c r="K67" s="54">
        <f>K64+K65+K66</f>
        <v>1157.3</v>
      </c>
      <c r="L67" s="54"/>
      <c r="M67" s="55">
        <f>M64+M65+M66</f>
        <v>1476.8200000000002</v>
      </c>
      <c r="N67" s="55">
        <f>N64+N65+N66</f>
        <v>189.87999999999988</v>
      </c>
      <c r="O67" s="54">
        <f t="shared" si="10"/>
        <v>-1286.9400000000003</v>
      </c>
      <c r="P67" s="54">
        <f>N67/M67*100</f>
        <v>12.857355669614432</v>
      </c>
      <c r="Q67" s="54">
        <f>N67-7985.28</f>
        <v>-7795.4</v>
      </c>
      <c r="R67" s="173">
        <f>N67/7985.28</f>
        <v>0.023778752905345823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6350.799999999999</v>
      </c>
      <c r="G74" s="44">
        <f>F74-E74</f>
        <v>-1965.3799999999992</v>
      </c>
      <c r="H74" s="45">
        <f>F74/E74*100</f>
        <v>76.3667934075501</v>
      </c>
      <c r="I74" s="31">
        <f>F74-D74</f>
        <v>-10821.2</v>
      </c>
      <c r="J74" s="31">
        <f>F74/D74*100</f>
        <v>36.983461448870244</v>
      </c>
      <c r="K74" s="31">
        <f>K62+K67+K71+K72</f>
        <v>813.97</v>
      </c>
      <c r="L74" s="31"/>
      <c r="M74" s="27">
        <f>M62+M72+M67+M71</f>
        <v>1495.8200000000002</v>
      </c>
      <c r="N74" s="27">
        <f>N62+N72+N67+N71+N73</f>
        <v>187.3699999999999</v>
      </c>
      <c r="O74" s="31">
        <f>N74-M74</f>
        <v>-1308.4500000000003</v>
      </c>
      <c r="P74" s="31">
        <f>N74/M74*100</f>
        <v>12.526239788209804</v>
      </c>
      <c r="Q74" s="31">
        <f>N74-8104.96</f>
        <v>-7917.59</v>
      </c>
      <c r="R74" s="127">
        <f>N74/8104.96</f>
        <v>0.0231179425931775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482186.25</v>
      </c>
      <c r="G75" s="44">
        <f>F75-E75</f>
        <v>-7851.830000000016</v>
      </c>
      <c r="H75" s="45">
        <f>F75/E75*100</f>
        <v>98.3977102350903</v>
      </c>
      <c r="I75" s="31">
        <f>F75-D75</f>
        <v>-136008.34999999998</v>
      </c>
      <c r="J75" s="31">
        <f>F75/D75*100</f>
        <v>77.99910416558153</v>
      </c>
      <c r="K75" s="31">
        <f>K55+K74</f>
        <v>107887.11600000001</v>
      </c>
      <c r="L75" s="31">
        <f>F75/(F75-K75)*100</f>
        <v>128.82376853161517</v>
      </c>
      <c r="M75" s="18">
        <f>M55+M74</f>
        <v>50034.219999999994</v>
      </c>
      <c r="N75" s="18">
        <f>N55+N74</f>
        <v>24888.630000000005</v>
      </c>
      <c r="O75" s="31">
        <f>N75-M75</f>
        <v>-25145.58999999999</v>
      </c>
      <c r="P75" s="31">
        <f>N75/M75*100</f>
        <v>49.743215743145406</v>
      </c>
      <c r="Q75" s="31">
        <f>N75-42872.96</f>
        <v>-17984.329999999994</v>
      </c>
      <c r="R75" s="127">
        <f>N75/42872.96</f>
        <v>0.5805204492528625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11</v>
      </c>
      <c r="D77" s="4" t="s">
        <v>118</v>
      </c>
    </row>
    <row r="78" spans="2:17" ht="31.5">
      <c r="B78" s="71" t="s">
        <v>154</v>
      </c>
      <c r="C78" s="34">
        <f>IF(O55&lt;0,ABS(O55/C77),0)</f>
        <v>2167.0127272727264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42262</v>
      </c>
      <c r="D79" s="34">
        <v>2579.6</v>
      </c>
      <c r="G79" s="4" t="s">
        <v>166</v>
      </c>
      <c r="N79" s="236"/>
      <c r="O79" s="236"/>
    </row>
    <row r="80" spans="3:15" ht="15.75">
      <c r="C80" s="111">
        <v>42261</v>
      </c>
      <c r="D80" s="34">
        <v>2196.6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42258</v>
      </c>
      <c r="D81" s="34">
        <v>880.3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3780.13185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3" sqref="H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2015-09-14T07:09:41Z</cp:lastPrinted>
  <dcterms:created xsi:type="dcterms:W3CDTF">2003-07-28T11:27:56Z</dcterms:created>
  <dcterms:modified xsi:type="dcterms:W3CDTF">2015-09-16T07:46:41Z</dcterms:modified>
  <cp:category/>
  <cp:version/>
  <cp:contentType/>
  <cp:contentStatus/>
</cp:coreProperties>
</file>